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dwardshrimpton/Documents/Private 2/OR's/New ORs filing/"/>
    </mc:Choice>
  </mc:AlternateContent>
  <xr:revisionPtr revIDLastSave="0" documentId="8_{EEE73CCA-31CD-3043-9520-1050FAE1BCF8}" xr6:coauthVersionLast="47" xr6:coauthVersionMax="47" xr10:uidLastSave="{00000000-0000-0000-0000-000000000000}"/>
  <bookViews>
    <workbookView xWindow="0" yWindow="660" windowWidth="19420" windowHeight="10300" xr2:uid="{468B57CE-0419-40F3-AE51-C9D1A777F26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97" i="1" l="1"/>
  <c r="J38" i="1"/>
  <c r="L23" i="1"/>
  <c r="J24" i="1"/>
  <c r="J39" i="1"/>
  <c r="H38" i="1"/>
  <c r="H39" i="1"/>
  <c r="J23" i="1"/>
  <c r="J35" i="1" s="1"/>
  <c r="H24" i="1"/>
  <c r="H23" i="1"/>
  <c r="L7" i="1"/>
  <c r="L8" i="1"/>
  <c r="J103" i="1"/>
  <c r="L102" i="1"/>
  <c r="L101" i="1"/>
  <c r="L100" i="1"/>
  <c r="L99" i="1"/>
  <c r="L96" i="1"/>
  <c r="J92" i="1"/>
  <c r="H91" i="1"/>
  <c r="L91" i="1" s="1"/>
  <c r="H90" i="1"/>
  <c r="L90" i="1" s="1"/>
  <c r="L89" i="1"/>
  <c r="L88" i="1"/>
  <c r="L87" i="1"/>
  <c r="H86" i="1"/>
  <c r="L86" i="1" s="1"/>
  <c r="L85" i="1"/>
  <c r="L84" i="1"/>
  <c r="L83" i="1"/>
  <c r="H82" i="1"/>
  <c r="L75" i="1"/>
  <c r="L70" i="1"/>
  <c r="J64" i="1"/>
  <c r="L63" i="1"/>
  <c r="L62" i="1"/>
  <c r="H61" i="1"/>
  <c r="L61" i="1" s="1"/>
  <c r="H60" i="1"/>
  <c r="L60" i="1" s="1"/>
  <c r="L59" i="1"/>
  <c r="L58" i="1"/>
  <c r="L57" i="1"/>
  <c r="H56" i="1"/>
  <c r="L56" i="1" s="1"/>
  <c r="L55" i="1"/>
  <c r="H54" i="1"/>
  <c r="L54" i="1" s="1"/>
  <c r="L53" i="1"/>
  <c r="L52" i="1"/>
  <c r="L51" i="1"/>
  <c r="L50" i="1"/>
  <c r="H49" i="1"/>
  <c r="L49" i="1" s="1"/>
  <c r="L48" i="1"/>
  <c r="H47" i="1"/>
  <c r="L47" i="1" s="1"/>
  <c r="L46" i="1"/>
  <c r="L45" i="1"/>
  <c r="L43" i="1"/>
  <c r="J37" i="1"/>
  <c r="H31" i="1"/>
  <c r="L31" i="1" s="1"/>
  <c r="H30" i="1"/>
  <c r="L30" i="1" s="1"/>
  <c r="H27" i="1"/>
  <c r="L27" i="1" s="1"/>
  <c r="H26" i="1"/>
  <c r="L26" i="1" s="1"/>
  <c r="H22" i="1"/>
  <c r="J19" i="1"/>
  <c r="H17" i="1"/>
  <c r="H16" i="1"/>
  <c r="L15" i="1"/>
  <c r="L14" i="1"/>
  <c r="H13" i="1"/>
  <c r="H12" i="1"/>
  <c r="L11" i="1"/>
  <c r="L10" i="1"/>
  <c r="H9" i="1"/>
  <c r="L6" i="1"/>
  <c r="L22" i="1" l="1"/>
  <c r="H37" i="1"/>
  <c r="H19" i="1"/>
  <c r="L19" i="1" s="1"/>
  <c r="L12" i="1"/>
  <c r="H28" i="1"/>
  <c r="L28" i="1" s="1"/>
  <c r="J68" i="1"/>
  <c r="J73" i="1" s="1"/>
  <c r="J77" i="1" s="1"/>
  <c r="L98" i="1"/>
  <c r="H103" i="1"/>
  <c r="L103" i="1" s="1"/>
  <c r="L82" i="1"/>
  <c r="H92" i="1"/>
  <c r="L9" i="1"/>
  <c r="H25" i="1"/>
  <c r="L25" i="1" s="1"/>
  <c r="J66" i="1"/>
  <c r="H33" i="1"/>
  <c r="L33" i="1" s="1"/>
  <c r="L17" i="1"/>
  <c r="H32" i="1"/>
  <c r="L32" i="1" s="1"/>
  <c r="L16" i="1"/>
  <c r="H29" i="1"/>
  <c r="L13" i="1"/>
  <c r="L92" i="1" l="1"/>
  <c r="H44" i="1"/>
  <c r="L24" i="1"/>
  <c r="L29" i="1"/>
  <c r="H35" i="1"/>
  <c r="L44" i="1" l="1"/>
  <c r="H64" i="1"/>
  <c r="H68" i="1" s="1"/>
  <c r="L35" i="1"/>
  <c r="L64" i="1" l="1"/>
  <c r="H66" i="1"/>
  <c r="L68" i="1"/>
  <c r="H73" i="1"/>
  <c r="L73" i="1" l="1"/>
  <c r="H77" i="1"/>
  <c r="L77" i="1" s="1"/>
</calcChain>
</file>

<file path=xl/sharedStrings.xml><?xml version="1.0" encoding="utf-8"?>
<sst xmlns="http://schemas.openxmlformats.org/spreadsheetml/2006/main" count="90" uniqueCount="69">
  <si>
    <t>OLD REIGATIAN RUGBY FOOTBALL CLUB LIMITED</t>
  </si>
  <si>
    <t>CONSOLIDATED INCOME &amp; EXPENDITURE ACCOUNT FOR THE YEAR ENDED 30TH APRIL 2026</t>
  </si>
  <si>
    <t>FY 2026</t>
  </si>
  <si>
    <t>FY 2025</t>
  </si>
  <si>
    <t>Variance</t>
  </si>
  <si>
    <t>£</t>
  </si>
  <si>
    <t>INCOME</t>
  </si>
  <si>
    <t>Bar</t>
  </si>
  <si>
    <t>Subscriptions : Senior and Social</t>
  </si>
  <si>
    <t xml:space="preserve">Subscriptions : Youth </t>
  </si>
  <si>
    <t>Match and Tournament Fees</t>
  </si>
  <si>
    <t>Club and Grounds Hire</t>
  </si>
  <si>
    <t xml:space="preserve">Kit and Equipment </t>
  </si>
  <si>
    <t>Gym</t>
  </si>
  <si>
    <t>International Tickets</t>
  </si>
  <si>
    <t>Sponsorship</t>
  </si>
  <si>
    <t>Other Income and RFU Receipts</t>
  </si>
  <si>
    <t>TOTAL</t>
  </si>
  <si>
    <t>GROSS PROFIT</t>
  </si>
  <si>
    <t>Subscriptions : Seniors, Social and Students</t>
  </si>
  <si>
    <t>Subscriptions : Youth</t>
  </si>
  <si>
    <t>Club Hire</t>
  </si>
  <si>
    <t>Gross Margin %  Bar</t>
  </si>
  <si>
    <t>EXPENSES</t>
  </si>
  <si>
    <t>Bar Manager, Staff and Overheads</t>
  </si>
  <si>
    <t>Playing</t>
  </si>
  <si>
    <t>Facilities Manager</t>
  </si>
  <si>
    <t xml:space="preserve">              </t>
  </si>
  <si>
    <t>Events Manager</t>
  </si>
  <si>
    <t>Accountancy and Professional</t>
  </si>
  <si>
    <t>Bank Charges</t>
  </si>
  <si>
    <t>Cleaning and Waste Disposal</t>
  </si>
  <si>
    <t>Computer Maintenance</t>
  </si>
  <si>
    <t>Depreciation</t>
  </si>
  <si>
    <t>Ground Maintenance</t>
  </si>
  <si>
    <t>Insurance</t>
  </si>
  <si>
    <t>Light, Heat and Water</t>
  </si>
  <si>
    <t>Non Recoverable VAT</t>
  </si>
  <si>
    <t xml:space="preserve">Other Administrative </t>
  </si>
  <si>
    <t>Business Rates</t>
  </si>
  <si>
    <t>Repairs and Maintenance</t>
  </si>
  <si>
    <t>Service Contracts</t>
  </si>
  <si>
    <t>Subscriptions, TV and Performing Rights</t>
  </si>
  <si>
    <t>Telephone, Postage and Stationery</t>
  </si>
  <si>
    <t>Website &amp; Marketing</t>
  </si>
  <si>
    <t>Total Overhead % of Income</t>
  </si>
  <si>
    <t>Profit/-Loss before Exceptional Items</t>
  </si>
  <si>
    <t>Interest Receivable</t>
  </si>
  <si>
    <t>Transfer from reserves</t>
  </si>
  <si>
    <t>PROFIT/-LOSS FOR YEAR Before Tax</t>
  </si>
  <si>
    <t>Corporation Tax</t>
  </si>
  <si>
    <t>PROFIT/-LOSS FOR YEAR After Tax</t>
  </si>
  <si>
    <t>PLAYING EXPENSES</t>
  </si>
  <si>
    <t>Director of Rugby and Coaching</t>
  </si>
  <si>
    <t>Physio</t>
  </si>
  <si>
    <t>Travel</t>
  </si>
  <si>
    <t>Tournament Entry Fees</t>
  </si>
  <si>
    <t>Kit &amp; Equipment</t>
  </si>
  <si>
    <t>Pitch Hire</t>
  </si>
  <si>
    <t>Referees</t>
  </si>
  <si>
    <t>Laundry</t>
  </si>
  <si>
    <t>Match Teas</t>
  </si>
  <si>
    <t>Other Playing Expenses</t>
  </si>
  <si>
    <t>COST OF SALES</t>
  </si>
  <si>
    <t xml:space="preserve">Sponsorship </t>
  </si>
  <si>
    <t xml:space="preserve">Catering </t>
  </si>
  <si>
    <t>Club Events</t>
  </si>
  <si>
    <t xml:space="preserve">Gross Margin %  Catering </t>
  </si>
  <si>
    <t>Gross Margin %  Club Events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</si>
</sst>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_-;\-* #,##0_-;_-* &quot;-&quot;??_-;_-@_-"/>
    <numFmt numFmtId="166" formatCode="&quot;£&quot;#,##0.00"/>
    <numFmt numFmtId="167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/>
    <xf numFmtId="0" fontId="4" fillId="0" borderId="0" xfId="0" applyFont="1"/>
    <xf numFmtId="165" fontId="0" fillId="0" borderId="0" xfId="1" applyNumberFormat="1" applyFont="1"/>
    <xf numFmtId="0" fontId="3" fillId="0" borderId="0" xfId="0" applyFont="1" applyAlignment="1">
      <alignment horizontal="center"/>
    </xf>
    <xf numFmtId="165" fontId="3" fillId="0" borderId="0" xfId="1" applyNumberFormat="1" applyFont="1" applyAlignment="1">
      <alignment horizontal="center"/>
    </xf>
    <xf numFmtId="165" fontId="2" fillId="0" borderId="0" xfId="0" applyNumberFormat="1" applyFont="1"/>
    <xf numFmtId="165" fontId="0" fillId="0" borderId="0" xfId="0" applyNumberFormat="1"/>
    <xf numFmtId="0" fontId="2" fillId="0" borderId="0" xfId="0" applyFont="1"/>
    <xf numFmtId="0" fontId="5" fillId="0" borderId="0" xfId="0" applyFont="1"/>
    <xf numFmtId="165" fontId="5" fillId="0" borderId="0" xfId="0" applyNumberFormat="1" applyFont="1"/>
    <xf numFmtId="165" fontId="0" fillId="0" borderId="0" xfId="1" applyNumberFormat="1" applyFont="1" applyBorder="1"/>
    <xf numFmtId="0" fontId="6" fillId="0" borderId="0" xfId="0" applyFont="1"/>
    <xf numFmtId="165" fontId="3" fillId="0" borderId="0" xfId="1" applyNumberFormat="1" applyFont="1"/>
    <xf numFmtId="2" fontId="3" fillId="0" borderId="0" xfId="0" applyNumberFormat="1" applyFont="1"/>
    <xf numFmtId="165" fontId="7" fillId="0" borderId="0" xfId="0" applyNumberFormat="1" applyFont="1"/>
    <xf numFmtId="166" fontId="0" fillId="0" borderId="0" xfId="0" applyNumberFormat="1"/>
    <xf numFmtId="165" fontId="5" fillId="0" borderId="0" xfId="1" applyNumberFormat="1" applyFont="1"/>
    <xf numFmtId="165" fontId="5" fillId="0" borderId="0" xfId="1" applyNumberFormat="1" applyFont="1" applyAlignment="1">
      <alignment horizontal="center"/>
    </xf>
    <xf numFmtId="0" fontId="8" fillId="0" borderId="0" xfId="0" applyFont="1"/>
    <xf numFmtId="167" fontId="1" fillId="0" borderId="0" xfId="2" applyNumberFormat="1" applyFont="1"/>
    <xf numFmtId="165" fontId="1" fillId="0" borderId="0" xfId="1" applyNumberFormat="1" applyFont="1"/>
    <xf numFmtId="165" fontId="0" fillId="0" borderId="1" xfId="1" applyNumberFormat="1" applyFont="1" applyBorder="1"/>
    <xf numFmtId="165" fontId="5" fillId="0" borderId="1" xfId="0" applyNumberFormat="1" applyFont="1" applyBorder="1"/>
    <xf numFmtId="165" fontId="3" fillId="0" borderId="1" xfId="1" applyNumberFormat="1" applyFont="1" applyBorder="1"/>
    <xf numFmtId="0" fontId="3" fillId="0" borderId="1" xfId="0" applyFont="1" applyBorder="1"/>
    <xf numFmtId="165" fontId="7" fillId="0" borderId="0" xfId="1" applyNumberFormat="1" applyFont="1"/>
    <xf numFmtId="165" fontId="8" fillId="0" borderId="0" xfId="1" applyNumberFormat="1" applyFont="1"/>
    <xf numFmtId="0" fontId="0" fillId="0" borderId="1" xfId="0" applyBorder="1"/>
    <xf numFmtId="165" fontId="8" fillId="0" borderId="0" xfId="0" applyNumberFormat="1" applyFont="1"/>
    <xf numFmtId="165" fontId="7" fillId="0" borderId="1" xfId="1" applyNumberFormat="1" applyFont="1" applyBorder="1"/>
    <xf numFmtId="165" fontId="7" fillId="0" borderId="1" xfId="0" applyNumberFormat="1" applyFont="1" applyBorder="1"/>
    <xf numFmtId="165" fontId="0" fillId="0" borderId="2" xfId="1" applyNumberFormat="1" applyFont="1" applyBorder="1"/>
    <xf numFmtId="0" fontId="0" fillId="0" borderId="2" xfId="0" applyBorder="1"/>
    <xf numFmtId="165" fontId="2" fillId="0" borderId="1" xfId="0" applyNumberFormat="1" applyFont="1" applyBorder="1"/>
    <xf numFmtId="165" fontId="3" fillId="0" borderId="2" xfId="1" applyNumberFormat="1" applyFont="1" applyBorder="1"/>
    <xf numFmtId="0" fontId="3" fillId="0" borderId="3" xfId="0" applyFont="1" applyBorder="1"/>
    <xf numFmtId="165" fontId="0" fillId="0" borderId="0" xfId="1" applyNumberFormat="1" applyFont="1" applyAlignment="1">
      <alignment horizontal="center"/>
    </xf>
  </cellXfs>
  <cellStyles count="3">
    <cellStyle name="Comma" xfId="1" builtinId="3"/>
    <cellStyle name="Normal" xfId="0" builtinId="0"/>
    <cellStyle name="Per 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D2A04-F12D-4199-847C-DCCE12D4A88B}">
  <dimension ref="A1:P105"/>
  <sheetViews>
    <sheetView tabSelected="1" workbookViewId="0">
      <selection activeCell="Q13" sqref="Q13:Q14"/>
    </sheetView>
  </sheetViews>
  <sheetFormatPr baseColWidth="10" defaultColWidth="8.83203125" defaultRowHeight="15" x14ac:dyDescent="0.2"/>
  <cols>
    <col min="8" max="8" width="12.5" style="3" bestFit="1" customWidth="1"/>
    <col min="10" max="10" width="12.5" style="3" bestFit="1" customWidth="1"/>
  </cols>
  <sheetData>
    <row r="1" spans="1:13" ht="19" x14ac:dyDescent="0.25">
      <c r="A1" s="1" t="s">
        <v>0</v>
      </c>
      <c r="B1" s="2"/>
      <c r="C1" s="2"/>
      <c r="D1" s="2"/>
      <c r="E1" s="2"/>
      <c r="F1" s="2"/>
      <c r="G1" s="2"/>
    </row>
    <row r="2" spans="1:13" ht="19" x14ac:dyDescent="0.25">
      <c r="A2" s="1" t="s">
        <v>1</v>
      </c>
      <c r="B2" s="2"/>
      <c r="C2" s="2"/>
      <c r="D2" s="2"/>
      <c r="E2" s="2"/>
      <c r="F2" s="2"/>
      <c r="G2" s="2"/>
    </row>
    <row r="3" spans="1:13" s="4" customFormat="1" x14ac:dyDescent="0.2">
      <c r="H3" s="5" t="s">
        <v>2</v>
      </c>
      <c r="J3" s="5" t="s">
        <v>3</v>
      </c>
      <c r="L3" s="4" t="s">
        <v>4</v>
      </c>
    </row>
    <row r="4" spans="1:13" s="4" customFormat="1" x14ac:dyDescent="0.2">
      <c r="H4" s="5" t="s">
        <v>5</v>
      </c>
      <c r="J4" s="5" t="s">
        <v>5</v>
      </c>
      <c r="L4" s="4" t="s">
        <v>5</v>
      </c>
    </row>
    <row r="5" spans="1:13" x14ac:dyDescent="0.2">
      <c r="A5" s="1" t="s">
        <v>6</v>
      </c>
    </row>
    <row r="6" spans="1:13" x14ac:dyDescent="0.2">
      <c r="A6" t="s">
        <v>7</v>
      </c>
      <c r="H6" s="3">
        <v>227708</v>
      </c>
      <c r="J6" s="3">
        <v>242630</v>
      </c>
      <c r="L6" s="6">
        <f>H6-J6</f>
        <v>-14922</v>
      </c>
    </row>
    <row r="7" spans="1:13" x14ac:dyDescent="0.2">
      <c r="A7" t="s">
        <v>65</v>
      </c>
      <c r="H7" s="3">
        <v>67669</v>
      </c>
      <c r="J7" s="3">
        <v>42239</v>
      </c>
      <c r="L7" s="10">
        <f t="shared" ref="L7:L8" si="0">H7-J7</f>
        <v>25430</v>
      </c>
    </row>
    <row r="8" spans="1:13" x14ac:dyDescent="0.2">
      <c r="A8" t="s">
        <v>66</v>
      </c>
      <c r="H8" s="3">
        <v>51418</v>
      </c>
      <c r="J8" s="3">
        <v>28589</v>
      </c>
      <c r="L8" s="10">
        <f t="shared" si="0"/>
        <v>22829</v>
      </c>
    </row>
    <row r="9" spans="1:13" x14ac:dyDescent="0.2">
      <c r="A9" t="s">
        <v>8</v>
      </c>
      <c r="H9" s="3">
        <f>12233+29780+10291</f>
        <v>52304</v>
      </c>
      <c r="J9" s="3">
        <v>54296</v>
      </c>
      <c r="L9" s="6">
        <f t="shared" ref="L9:L19" si="1">H9-J9</f>
        <v>-1992</v>
      </c>
    </row>
    <row r="10" spans="1:13" x14ac:dyDescent="0.2">
      <c r="A10" t="s">
        <v>9</v>
      </c>
      <c r="H10" s="3">
        <v>77495</v>
      </c>
      <c r="J10" s="3">
        <v>77459</v>
      </c>
      <c r="L10" s="7">
        <f t="shared" si="1"/>
        <v>36</v>
      </c>
    </row>
    <row r="11" spans="1:13" x14ac:dyDescent="0.2">
      <c r="A11" t="s">
        <v>10</v>
      </c>
      <c r="H11" s="3">
        <v>130</v>
      </c>
      <c r="J11" s="3">
        <v>3900</v>
      </c>
      <c r="L11" s="6">
        <f t="shared" si="1"/>
        <v>-3770</v>
      </c>
      <c r="M11" s="8"/>
    </row>
    <row r="12" spans="1:13" x14ac:dyDescent="0.2">
      <c r="A12" t="s">
        <v>11</v>
      </c>
      <c r="H12" s="3">
        <f>49280+2100+93857+4566</f>
        <v>149803</v>
      </c>
      <c r="J12" s="3">
        <v>134406</v>
      </c>
      <c r="L12" s="7">
        <f t="shared" si="1"/>
        <v>15397</v>
      </c>
      <c r="M12" s="9"/>
    </row>
    <row r="13" spans="1:13" x14ac:dyDescent="0.2">
      <c r="A13" t="s">
        <v>12</v>
      </c>
      <c r="H13" s="3">
        <f>103+31309</f>
        <v>31412</v>
      </c>
      <c r="J13" s="3">
        <v>21232</v>
      </c>
      <c r="L13" s="7">
        <f t="shared" si="1"/>
        <v>10180</v>
      </c>
    </row>
    <row r="14" spans="1:13" x14ac:dyDescent="0.2">
      <c r="A14" t="s">
        <v>13</v>
      </c>
      <c r="H14" s="3">
        <v>17559</v>
      </c>
      <c r="J14" s="3">
        <v>16120</v>
      </c>
      <c r="L14" s="10">
        <f t="shared" si="1"/>
        <v>1439</v>
      </c>
    </row>
    <row r="15" spans="1:13" x14ac:dyDescent="0.2">
      <c r="A15" t="s">
        <v>14</v>
      </c>
      <c r="H15" s="3">
        <v>30801</v>
      </c>
      <c r="J15" s="3">
        <v>34976</v>
      </c>
      <c r="L15" s="6">
        <f t="shared" si="1"/>
        <v>-4175</v>
      </c>
      <c r="M15" s="8"/>
    </row>
    <row r="16" spans="1:13" x14ac:dyDescent="0.2">
      <c r="A16" t="s">
        <v>15</v>
      </c>
      <c r="H16" s="3">
        <f>40413</f>
        <v>40413</v>
      </c>
      <c r="J16" s="3">
        <v>36517</v>
      </c>
      <c r="L16" s="10">
        <f t="shared" si="1"/>
        <v>3896</v>
      </c>
      <c r="M16" s="8"/>
    </row>
    <row r="17" spans="1:13" x14ac:dyDescent="0.2">
      <c r="A17" t="s">
        <v>16</v>
      </c>
      <c r="H17" s="11">
        <f>42407+420+576</f>
        <v>43403</v>
      </c>
      <c r="J17" s="11">
        <v>52323</v>
      </c>
      <c r="L17" s="6">
        <f t="shared" si="1"/>
        <v>-8920</v>
      </c>
      <c r="M17" s="12"/>
    </row>
    <row r="18" spans="1:13" x14ac:dyDescent="0.2">
      <c r="H18" s="22"/>
      <c r="J18" s="22"/>
      <c r="L18" s="23"/>
      <c r="M18" s="12"/>
    </row>
    <row r="19" spans="1:13" s="1" customFormat="1" x14ac:dyDescent="0.2">
      <c r="A19" s="1" t="s">
        <v>17</v>
      </c>
      <c r="H19" s="13">
        <f>SUM(H6:H17)</f>
        <v>790115</v>
      </c>
      <c r="I19" s="14"/>
      <c r="J19" s="13">
        <f>SUM(J6:J17)</f>
        <v>744687</v>
      </c>
      <c r="L19" s="15">
        <f t="shared" si="1"/>
        <v>45428</v>
      </c>
    </row>
    <row r="20" spans="1:13" ht="14.25" customHeight="1" x14ac:dyDescent="0.2">
      <c r="L20" s="16"/>
    </row>
    <row r="21" spans="1:13" ht="14.25" customHeight="1" x14ac:dyDescent="0.2">
      <c r="A21" s="1" t="s">
        <v>18</v>
      </c>
      <c r="L21" s="16"/>
    </row>
    <row r="22" spans="1:13" x14ac:dyDescent="0.2">
      <c r="A22" t="s">
        <v>7</v>
      </c>
      <c r="H22" s="3">
        <f>H6-H96</f>
        <v>143565</v>
      </c>
      <c r="J22" s="3">
        <v>153989</v>
      </c>
      <c r="L22" s="6">
        <f t="shared" ref="L22:L35" si="2">H22-J22</f>
        <v>-10424</v>
      </c>
    </row>
    <row r="23" spans="1:13" x14ac:dyDescent="0.2">
      <c r="A23" t="s">
        <v>65</v>
      </c>
      <c r="H23" s="3">
        <f>H7-H97</f>
        <v>9532</v>
      </c>
      <c r="J23" s="3">
        <f>J7-J97</f>
        <v>322</v>
      </c>
      <c r="L23" s="6">
        <f t="shared" si="2"/>
        <v>9210</v>
      </c>
    </row>
    <row r="24" spans="1:13" x14ac:dyDescent="0.2">
      <c r="A24" t="s">
        <v>66</v>
      </c>
      <c r="H24" s="3">
        <f>H8-H98</f>
        <v>32057</v>
      </c>
      <c r="J24" s="3">
        <f>J8-J98</f>
        <v>17819</v>
      </c>
      <c r="L24" s="10">
        <f t="shared" si="2"/>
        <v>14238</v>
      </c>
      <c r="M24" s="8"/>
    </row>
    <row r="25" spans="1:13" x14ac:dyDescent="0.2">
      <c r="A25" t="s">
        <v>19</v>
      </c>
      <c r="H25" s="3">
        <f>H9</f>
        <v>52304</v>
      </c>
      <c r="J25" s="3">
        <v>54296</v>
      </c>
      <c r="L25" s="6">
        <f t="shared" si="2"/>
        <v>-1992</v>
      </c>
      <c r="M25" s="9"/>
    </row>
    <row r="26" spans="1:13" x14ac:dyDescent="0.2">
      <c r="A26" t="s">
        <v>20</v>
      </c>
      <c r="H26" s="3">
        <f>H10</f>
        <v>77495</v>
      </c>
      <c r="J26" s="3">
        <v>77459</v>
      </c>
      <c r="L26" s="6">
        <f t="shared" si="2"/>
        <v>36</v>
      </c>
      <c r="M26" s="9"/>
    </row>
    <row r="27" spans="1:13" x14ac:dyDescent="0.2">
      <c r="A27" t="s">
        <v>10</v>
      </c>
      <c r="H27" s="3">
        <f>H11</f>
        <v>130</v>
      </c>
      <c r="J27" s="3">
        <v>3900</v>
      </c>
      <c r="L27" s="6">
        <f t="shared" si="2"/>
        <v>-3770</v>
      </c>
      <c r="M27" s="8"/>
    </row>
    <row r="28" spans="1:13" x14ac:dyDescent="0.2">
      <c r="A28" t="s">
        <v>21</v>
      </c>
      <c r="H28" s="3">
        <f>H12</f>
        <v>149803</v>
      </c>
      <c r="J28" s="3">
        <v>134406</v>
      </c>
      <c r="L28" s="6">
        <f t="shared" si="2"/>
        <v>15397</v>
      </c>
      <c r="M28" s="9"/>
    </row>
    <row r="29" spans="1:13" x14ac:dyDescent="0.2">
      <c r="A29" t="s">
        <v>12</v>
      </c>
      <c r="H29" s="17">
        <f>H13-H99</f>
        <v>5637</v>
      </c>
      <c r="I29" s="9"/>
      <c r="J29" s="17">
        <v>787</v>
      </c>
      <c r="K29" s="9"/>
      <c r="L29" s="10">
        <f t="shared" si="2"/>
        <v>4850</v>
      </c>
      <c r="M29" s="8"/>
    </row>
    <row r="30" spans="1:13" x14ac:dyDescent="0.2">
      <c r="A30" t="s">
        <v>13</v>
      </c>
      <c r="H30" s="18">
        <f>H14-H100</f>
        <v>17559</v>
      </c>
      <c r="J30" s="18">
        <v>16120</v>
      </c>
      <c r="L30" s="10">
        <f t="shared" si="2"/>
        <v>1439</v>
      </c>
      <c r="M30" s="9"/>
    </row>
    <row r="31" spans="1:13" x14ac:dyDescent="0.2">
      <c r="A31" t="s">
        <v>14</v>
      </c>
      <c r="H31" s="3">
        <f>H15-H101</f>
        <v>-113</v>
      </c>
      <c r="J31" s="3">
        <v>391</v>
      </c>
      <c r="K31" s="8"/>
      <c r="L31" s="10">
        <f>H31-J31</f>
        <v>-504</v>
      </c>
      <c r="M31" s="8"/>
    </row>
    <row r="32" spans="1:13" x14ac:dyDescent="0.2">
      <c r="A32" t="s">
        <v>15</v>
      </c>
      <c r="H32" s="3">
        <f>H16-H102</f>
        <v>37584</v>
      </c>
      <c r="J32" s="3">
        <v>36517</v>
      </c>
      <c r="K32" s="8"/>
      <c r="L32" s="10">
        <f t="shared" si="2"/>
        <v>1067</v>
      </c>
      <c r="M32" s="9"/>
    </row>
    <row r="33" spans="1:16" x14ac:dyDescent="0.2">
      <c r="A33" t="s">
        <v>16</v>
      </c>
      <c r="H33" s="11">
        <f>H17</f>
        <v>43403</v>
      </c>
      <c r="J33" s="11">
        <v>52323</v>
      </c>
      <c r="K33" s="8"/>
      <c r="L33" s="6">
        <f t="shared" si="2"/>
        <v>-8920</v>
      </c>
      <c r="M33" s="9"/>
    </row>
    <row r="34" spans="1:16" x14ac:dyDescent="0.2">
      <c r="H34" s="22"/>
      <c r="J34" s="22"/>
      <c r="L34" s="28"/>
    </row>
    <row r="35" spans="1:16" s="1" customFormat="1" x14ac:dyDescent="0.2">
      <c r="A35" s="1" t="s">
        <v>17</v>
      </c>
      <c r="H35" s="13">
        <f>SUM(H22:H33)</f>
        <v>568956</v>
      </c>
      <c r="I35" s="13"/>
      <c r="J35" s="13">
        <f>SUM(J22:J33)</f>
        <v>548329</v>
      </c>
      <c r="L35" s="15">
        <f t="shared" si="2"/>
        <v>20627</v>
      </c>
      <c r="M35" s="19"/>
    </row>
    <row r="37" spans="1:16" x14ac:dyDescent="0.2">
      <c r="A37" t="s">
        <v>22</v>
      </c>
      <c r="H37" s="20">
        <f>H22/H6</f>
        <v>0.6304785075623166</v>
      </c>
      <c r="J37" s="20">
        <f>J22/J6</f>
        <v>0.63466595227300826</v>
      </c>
    </row>
    <row r="38" spans="1:16" x14ac:dyDescent="0.2">
      <c r="A38" t="s">
        <v>67</v>
      </c>
      <c r="H38" s="20">
        <f>H23/H7</f>
        <v>0.1408621377587965</v>
      </c>
      <c r="J38" s="20">
        <f>J23/J7</f>
        <v>7.6232865361395867E-3</v>
      </c>
    </row>
    <row r="39" spans="1:16" x14ac:dyDescent="0.2">
      <c r="A39" t="s">
        <v>68</v>
      </c>
      <c r="H39" s="20">
        <f>H24/H8</f>
        <v>0.62345871095725236</v>
      </c>
      <c r="J39" s="20">
        <f>H24/H8</f>
        <v>0.62345871095725236</v>
      </c>
    </row>
    <row r="40" spans="1:16" x14ac:dyDescent="0.2">
      <c r="H40" s="20"/>
      <c r="J40" s="20"/>
    </row>
    <row r="41" spans="1:16" x14ac:dyDescent="0.2">
      <c r="H41" s="20"/>
      <c r="J41" s="20"/>
    </row>
    <row r="42" spans="1:16" s="1" customFormat="1" x14ac:dyDescent="0.2">
      <c r="A42" s="1" t="s">
        <v>23</v>
      </c>
      <c r="H42" s="13"/>
      <c r="J42" s="13"/>
    </row>
    <row r="43" spans="1:16" x14ac:dyDescent="0.2">
      <c r="A43" t="s">
        <v>24</v>
      </c>
      <c r="H43" s="21">
        <v>77922</v>
      </c>
      <c r="J43" s="21">
        <v>84500</v>
      </c>
      <c r="L43" s="10">
        <f>J43-H43</f>
        <v>6578</v>
      </c>
    </row>
    <row r="44" spans="1:16" x14ac:dyDescent="0.2">
      <c r="A44" t="s">
        <v>25</v>
      </c>
      <c r="H44" s="3">
        <f>H92</f>
        <v>100355</v>
      </c>
      <c r="J44" s="3">
        <v>100683</v>
      </c>
      <c r="L44" s="10">
        <f t="shared" ref="L44:L64" si="3">J44-H44</f>
        <v>328</v>
      </c>
    </row>
    <row r="45" spans="1:16" x14ac:dyDescent="0.2">
      <c r="A45" t="s">
        <v>26</v>
      </c>
      <c r="H45" s="3">
        <v>43078</v>
      </c>
      <c r="J45" s="3">
        <v>49751</v>
      </c>
      <c r="L45" s="10">
        <f t="shared" si="3"/>
        <v>6673</v>
      </c>
      <c r="P45" t="s">
        <v>27</v>
      </c>
    </row>
    <row r="46" spans="1:16" x14ac:dyDescent="0.2">
      <c r="A46" t="s">
        <v>28</v>
      </c>
      <c r="H46" s="3">
        <v>24568</v>
      </c>
      <c r="J46" s="3">
        <v>26309</v>
      </c>
      <c r="L46" s="10">
        <f t="shared" si="3"/>
        <v>1741</v>
      </c>
      <c r="M46" s="8"/>
    </row>
    <row r="47" spans="1:16" x14ac:dyDescent="0.2">
      <c r="A47" t="s">
        <v>29</v>
      </c>
      <c r="H47" s="3">
        <f>36555+3194</f>
        <v>39749</v>
      </c>
      <c r="J47" s="3">
        <v>40070</v>
      </c>
      <c r="L47" s="10">
        <f t="shared" si="3"/>
        <v>321</v>
      </c>
    </row>
    <row r="48" spans="1:16" x14ac:dyDescent="0.2">
      <c r="A48" t="s">
        <v>30</v>
      </c>
      <c r="H48" s="3">
        <v>10399</v>
      </c>
      <c r="J48" s="3">
        <v>8831</v>
      </c>
      <c r="L48" s="6">
        <f t="shared" si="3"/>
        <v>-1568</v>
      </c>
      <c r="M48" s="8"/>
    </row>
    <row r="49" spans="1:13" x14ac:dyDescent="0.2">
      <c r="A49" t="s">
        <v>31</v>
      </c>
      <c r="H49" s="3">
        <f>5405+13002</f>
        <v>18407</v>
      </c>
      <c r="J49" s="3">
        <v>20368</v>
      </c>
      <c r="L49" s="10">
        <f t="shared" si="3"/>
        <v>1961</v>
      </c>
      <c r="M49" s="9"/>
    </row>
    <row r="50" spans="1:13" x14ac:dyDescent="0.2">
      <c r="A50" t="s">
        <v>32</v>
      </c>
      <c r="H50" s="3">
        <v>5602</v>
      </c>
      <c r="J50" s="3">
        <v>5412</v>
      </c>
      <c r="L50" s="10">
        <f t="shared" si="3"/>
        <v>-190</v>
      </c>
      <c r="M50" s="9"/>
    </row>
    <row r="51" spans="1:13" x14ac:dyDescent="0.2">
      <c r="A51" t="s">
        <v>33</v>
      </c>
      <c r="H51" s="3">
        <v>38208</v>
      </c>
      <c r="J51" s="3">
        <v>33276</v>
      </c>
      <c r="L51" s="6">
        <f t="shared" si="3"/>
        <v>-4932</v>
      </c>
      <c r="M51" s="8"/>
    </row>
    <row r="52" spans="1:13" x14ac:dyDescent="0.2">
      <c r="A52" t="s">
        <v>34</v>
      </c>
      <c r="H52" s="3">
        <v>52670</v>
      </c>
      <c r="J52" s="3">
        <v>58603</v>
      </c>
      <c r="L52" s="10">
        <f t="shared" si="3"/>
        <v>5933</v>
      </c>
    </row>
    <row r="53" spans="1:13" x14ac:dyDescent="0.2">
      <c r="A53" t="s">
        <v>35</v>
      </c>
      <c r="H53" s="3">
        <v>8289</v>
      </c>
      <c r="J53" s="3">
        <v>7219</v>
      </c>
      <c r="L53" s="6">
        <f t="shared" si="3"/>
        <v>-1070</v>
      </c>
      <c r="M53" s="9"/>
    </row>
    <row r="54" spans="1:13" x14ac:dyDescent="0.2">
      <c r="A54" t="s">
        <v>36</v>
      </c>
      <c r="H54" s="3">
        <f>7006+44646+1789</f>
        <v>53441</v>
      </c>
      <c r="J54" s="3">
        <v>58742</v>
      </c>
      <c r="L54" s="10">
        <f t="shared" si="3"/>
        <v>5301</v>
      </c>
      <c r="M54" s="8"/>
    </row>
    <row r="55" spans="1:13" x14ac:dyDescent="0.2">
      <c r="A55" t="s">
        <v>37</v>
      </c>
      <c r="H55" s="17">
        <v>11584</v>
      </c>
      <c r="J55" s="17">
        <v>12339</v>
      </c>
      <c r="L55" s="10">
        <f t="shared" si="3"/>
        <v>755</v>
      </c>
      <c r="M55" s="9"/>
    </row>
    <row r="56" spans="1:13" x14ac:dyDescent="0.2">
      <c r="A56" t="s">
        <v>38</v>
      </c>
      <c r="H56" s="3">
        <f>10+257+1872+1303+396+3</f>
        <v>3841</v>
      </c>
      <c r="J56" s="3">
        <v>5272</v>
      </c>
      <c r="L56" s="10">
        <f>J56-H56</f>
        <v>1431</v>
      </c>
      <c r="M56" s="8"/>
    </row>
    <row r="57" spans="1:13" x14ac:dyDescent="0.2">
      <c r="A57" t="s">
        <v>39</v>
      </c>
      <c r="H57" s="3">
        <v>953</v>
      </c>
      <c r="J57" s="3">
        <v>403</v>
      </c>
      <c r="L57" s="6">
        <f t="shared" si="3"/>
        <v>-550</v>
      </c>
      <c r="M57" s="8"/>
    </row>
    <row r="58" spans="1:13" x14ac:dyDescent="0.2">
      <c r="A58" t="s">
        <v>40</v>
      </c>
      <c r="H58" s="3">
        <v>7741</v>
      </c>
      <c r="J58" s="3">
        <v>12762</v>
      </c>
      <c r="L58" s="10">
        <f>J58-H58</f>
        <v>5021</v>
      </c>
    </row>
    <row r="59" spans="1:13" x14ac:dyDescent="0.2">
      <c r="A59" t="s">
        <v>41</v>
      </c>
      <c r="H59" s="3">
        <v>4039</v>
      </c>
      <c r="J59" s="3">
        <v>5240</v>
      </c>
      <c r="L59" s="10">
        <f>J59-H59</f>
        <v>1201</v>
      </c>
    </row>
    <row r="60" spans="1:13" x14ac:dyDescent="0.2">
      <c r="A60" t="s">
        <v>42</v>
      </c>
      <c r="H60" s="3">
        <f>8833+762+203</f>
        <v>9798</v>
      </c>
      <c r="J60" s="3">
        <v>8467</v>
      </c>
      <c r="L60" s="6">
        <f t="shared" si="3"/>
        <v>-1331</v>
      </c>
      <c r="M60" s="8"/>
    </row>
    <row r="61" spans="1:13" x14ac:dyDescent="0.2">
      <c r="A61" t="s">
        <v>43</v>
      </c>
      <c r="H61" s="3">
        <f>4191+680</f>
        <v>4871</v>
      </c>
      <c r="J61" s="3">
        <v>6451</v>
      </c>
      <c r="L61" s="10">
        <f t="shared" si="3"/>
        <v>1580</v>
      </c>
      <c r="M61" s="8"/>
    </row>
    <row r="62" spans="1:13" x14ac:dyDescent="0.2">
      <c r="A62" t="s">
        <v>44</v>
      </c>
      <c r="H62" s="11">
        <v>12473</v>
      </c>
      <c r="J62" s="11">
        <v>5650</v>
      </c>
      <c r="L62" s="6">
        <f t="shared" si="3"/>
        <v>-6823</v>
      </c>
    </row>
    <row r="63" spans="1:13" x14ac:dyDescent="0.2">
      <c r="H63" s="22"/>
      <c r="J63" s="22"/>
      <c r="L63" s="23">
        <f t="shared" si="3"/>
        <v>0</v>
      </c>
    </row>
    <row r="64" spans="1:13" s="1" customFormat="1" x14ac:dyDescent="0.2">
      <c r="A64" s="1" t="s">
        <v>17</v>
      </c>
      <c r="H64" s="13">
        <f>SUM(H43:H62)</f>
        <v>527988</v>
      </c>
      <c r="I64" s="13"/>
      <c r="J64" s="13">
        <f>SUM(J43:J62)</f>
        <v>550348</v>
      </c>
      <c r="L64" s="10">
        <f t="shared" si="3"/>
        <v>22360</v>
      </c>
      <c r="M64" s="19"/>
    </row>
    <row r="66" spans="1:13" x14ac:dyDescent="0.2">
      <c r="A66" t="s">
        <v>45</v>
      </c>
      <c r="H66" s="20">
        <f>H64/H19</f>
        <v>0.66824196477727926</v>
      </c>
      <c r="J66" s="20">
        <f>J64/J19</f>
        <v>0.73903264055905371</v>
      </c>
    </row>
    <row r="67" spans="1:13" s="1" customFormat="1" x14ac:dyDescent="0.2">
      <c r="H67" s="24"/>
      <c r="J67" s="24"/>
      <c r="L67" s="25"/>
    </row>
    <row r="68" spans="1:13" x14ac:dyDescent="0.2">
      <c r="A68" t="s">
        <v>46</v>
      </c>
      <c r="H68" s="26">
        <f>H35-H64</f>
        <v>40968</v>
      </c>
      <c r="I68" s="27"/>
      <c r="J68" s="27">
        <f>J35-J64</f>
        <v>-2019</v>
      </c>
      <c r="K68" s="1"/>
      <c r="L68" s="10">
        <f t="shared" ref="L68" si="4">H68-J68</f>
        <v>42987</v>
      </c>
      <c r="M68" s="8"/>
    </row>
    <row r="70" spans="1:13" x14ac:dyDescent="0.2">
      <c r="A70" t="s">
        <v>47</v>
      </c>
      <c r="H70" s="3">
        <v>657</v>
      </c>
      <c r="J70" s="3">
        <v>1447</v>
      </c>
      <c r="L70" s="6">
        <f t="shared" ref="L70" si="5">J70-H70</f>
        <v>790</v>
      </c>
      <c r="M70" s="9"/>
    </row>
    <row r="71" spans="1:13" x14ac:dyDescent="0.2">
      <c r="A71" t="s">
        <v>48</v>
      </c>
      <c r="L71" s="10"/>
      <c r="M71" s="9"/>
    </row>
    <row r="72" spans="1:13" x14ac:dyDescent="0.2">
      <c r="H72" s="22"/>
      <c r="J72" s="22"/>
      <c r="L72" s="28"/>
    </row>
    <row r="73" spans="1:13" s="1" customFormat="1" x14ac:dyDescent="0.2">
      <c r="A73" s="1" t="s">
        <v>49</v>
      </c>
      <c r="H73" s="26">
        <f>SUM(H68:H72)</f>
        <v>41625</v>
      </c>
      <c r="J73" s="27">
        <f>SUM(J68:J72)</f>
        <v>-572</v>
      </c>
      <c r="L73" s="15">
        <f t="shared" ref="L73:L77" si="6">H73-J73</f>
        <v>42197</v>
      </c>
      <c r="M73" s="19"/>
    </row>
    <row r="74" spans="1:13" s="1" customFormat="1" x14ac:dyDescent="0.2">
      <c r="H74" s="26"/>
      <c r="J74" s="26"/>
      <c r="L74" s="29"/>
      <c r="M74" s="19"/>
    </row>
    <row r="75" spans="1:13" x14ac:dyDescent="0.2">
      <c r="A75" t="s">
        <v>50</v>
      </c>
      <c r="H75" s="17">
        <v>190</v>
      </c>
      <c r="J75" s="17">
        <v>159</v>
      </c>
      <c r="L75" s="6">
        <f t="shared" ref="L75" si="7">J75-H75</f>
        <v>-31</v>
      </c>
      <c r="M75" s="8"/>
    </row>
    <row r="76" spans="1:13" s="1" customFormat="1" x14ac:dyDescent="0.2">
      <c r="H76" s="30"/>
      <c r="J76" s="30"/>
      <c r="L76" s="31"/>
    </row>
    <row r="77" spans="1:13" s="1" customFormat="1" x14ac:dyDescent="0.2">
      <c r="A77" s="1" t="s">
        <v>51</v>
      </c>
      <c r="H77" s="26">
        <f>H73-H75</f>
        <v>41435</v>
      </c>
      <c r="J77" s="27">
        <f>J73-J75</f>
        <v>-731</v>
      </c>
      <c r="L77" s="10">
        <f t="shared" si="6"/>
        <v>42166</v>
      </c>
      <c r="M77" s="19"/>
    </row>
    <row r="78" spans="1:13" ht="16" thickBot="1" x14ac:dyDescent="0.25">
      <c r="H78" s="32"/>
      <c r="J78" s="32"/>
      <c r="L78" s="33"/>
    </row>
    <row r="79" spans="1:13" ht="16" thickTop="1" x14ac:dyDescent="0.2">
      <c r="H79" s="11"/>
      <c r="J79" s="11"/>
    </row>
    <row r="81" spans="1:13" x14ac:dyDescent="0.2">
      <c r="A81" s="1" t="s">
        <v>52</v>
      </c>
    </row>
    <row r="82" spans="1:13" x14ac:dyDescent="0.2">
      <c r="A82" t="s">
        <v>53</v>
      </c>
      <c r="H82" s="3">
        <f>18300+2700+19015</f>
        <v>40015</v>
      </c>
      <c r="J82" s="3">
        <v>35432</v>
      </c>
      <c r="L82" s="6">
        <f>J82-H82</f>
        <v>-4583</v>
      </c>
      <c r="M82" s="8"/>
    </row>
    <row r="83" spans="1:13" x14ac:dyDescent="0.2">
      <c r="A83" t="s">
        <v>54</v>
      </c>
      <c r="H83" s="3">
        <v>11626</v>
      </c>
      <c r="J83" s="3">
        <v>15410</v>
      </c>
      <c r="L83" s="10">
        <f t="shared" ref="L83:L91" si="8">J83-H83</f>
        <v>3784</v>
      </c>
      <c r="M83" s="9"/>
    </row>
    <row r="84" spans="1:13" x14ac:dyDescent="0.2">
      <c r="A84" t="s">
        <v>55</v>
      </c>
      <c r="H84" s="3">
        <v>1501</v>
      </c>
      <c r="J84" s="3">
        <v>1717</v>
      </c>
      <c r="L84" s="10">
        <f t="shared" si="8"/>
        <v>216</v>
      </c>
      <c r="M84" s="8"/>
    </row>
    <row r="85" spans="1:13" x14ac:dyDescent="0.2">
      <c r="A85" t="s">
        <v>56</v>
      </c>
      <c r="H85" s="17">
        <v>9864</v>
      </c>
      <c r="J85" s="17">
        <v>11010</v>
      </c>
      <c r="L85" s="10">
        <f t="shared" si="8"/>
        <v>1146</v>
      </c>
      <c r="M85" s="8"/>
    </row>
    <row r="86" spans="1:13" x14ac:dyDescent="0.2">
      <c r="A86" t="s">
        <v>57</v>
      </c>
      <c r="H86" s="3">
        <f>6208+1801</f>
        <v>8009</v>
      </c>
      <c r="J86" s="3">
        <v>11263</v>
      </c>
      <c r="L86" s="10">
        <f t="shared" si="8"/>
        <v>3254</v>
      </c>
      <c r="M86" s="9"/>
    </row>
    <row r="87" spans="1:13" x14ac:dyDescent="0.2">
      <c r="A87" t="s">
        <v>58</v>
      </c>
      <c r="H87" s="3">
        <v>1950</v>
      </c>
      <c r="J87" s="3">
        <v>2480</v>
      </c>
      <c r="L87" s="10">
        <f t="shared" si="8"/>
        <v>530</v>
      </c>
      <c r="M87" s="8"/>
    </row>
    <row r="88" spans="1:13" x14ac:dyDescent="0.2">
      <c r="A88" t="s">
        <v>59</v>
      </c>
      <c r="H88" s="3">
        <v>1457</v>
      </c>
      <c r="J88" s="3">
        <v>1267</v>
      </c>
      <c r="L88" s="6">
        <f t="shared" si="8"/>
        <v>-190</v>
      </c>
      <c r="M88" s="8"/>
    </row>
    <row r="89" spans="1:13" x14ac:dyDescent="0.2">
      <c r="A89" t="s">
        <v>60</v>
      </c>
      <c r="H89" s="3">
        <v>3390</v>
      </c>
      <c r="J89" s="3">
        <v>2605</v>
      </c>
      <c r="L89" s="6">
        <f t="shared" si="8"/>
        <v>-785</v>
      </c>
      <c r="M89" s="8"/>
    </row>
    <row r="90" spans="1:13" x14ac:dyDescent="0.2">
      <c r="A90" t="s">
        <v>61</v>
      </c>
      <c r="H90" s="3">
        <f>3221+8048</f>
        <v>11269</v>
      </c>
      <c r="J90" s="3">
        <v>9341</v>
      </c>
      <c r="L90" s="6">
        <f t="shared" si="8"/>
        <v>-1928</v>
      </c>
    </row>
    <row r="91" spans="1:13" x14ac:dyDescent="0.2">
      <c r="A91" t="s">
        <v>62</v>
      </c>
      <c r="H91" s="22">
        <f>45+100+3825+641+2699+3964</f>
        <v>11274</v>
      </c>
      <c r="J91" s="22">
        <v>10158</v>
      </c>
      <c r="L91" s="34">
        <f t="shared" si="8"/>
        <v>-1116</v>
      </c>
      <c r="M91" s="9"/>
    </row>
    <row r="92" spans="1:13" s="1" customFormat="1" x14ac:dyDescent="0.2">
      <c r="A92" s="1" t="s">
        <v>17</v>
      </c>
      <c r="H92" s="13">
        <f>SUM(H82:H91)</f>
        <v>100355</v>
      </c>
      <c r="J92" s="13">
        <f>SUM(J82:J91)</f>
        <v>100683</v>
      </c>
      <c r="L92" s="10">
        <f>J92-H92</f>
        <v>328</v>
      </c>
    </row>
    <row r="93" spans="1:13" s="1" customFormat="1" ht="16" thickBot="1" x14ac:dyDescent="0.25">
      <c r="H93" s="35"/>
      <c r="J93" s="35"/>
      <c r="L93" s="36"/>
    </row>
    <row r="94" spans="1:13" ht="16" thickTop="1" x14ac:dyDescent="0.2"/>
    <row r="95" spans="1:13" x14ac:dyDescent="0.2">
      <c r="A95" s="1" t="s">
        <v>63</v>
      </c>
    </row>
    <row r="96" spans="1:13" x14ac:dyDescent="0.2">
      <c r="A96" t="s">
        <v>7</v>
      </c>
      <c r="H96" s="3">
        <v>84143</v>
      </c>
      <c r="J96" s="3">
        <v>88641</v>
      </c>
      <c r="L96" s="10">
        <f>J96-H96</f>
        <v>4498</v>
      </c>
    </row>
    <row r="97" spans="1:13" x14ac:dyDescent="0.2">
      <c r="A97" t="s">
        <v>65</v>
      </c>
      <c r="H97" s="3">
        <v>58137</v>
      </c>
      <c r="J97" s="3">
        <v>41917</v>
      </c>
      <c r="L97" s="10">
        <f>J97-H97</f>
        <v>-16220</v>
      </c>
    </row>
    <row r="98" spans="1:13" x14ac:dyDescent="0.2">
      <c r="A98" t="s">
        <v>66</v>
      </c>
      <c r="H98" s="3">
        <v>19361</v>
      </c>
      <c r="J98" s="3">
        <v>10770</v>
      </c>
      <c r="L98" s="6">
        <f>J98-H98</f>
        <v>-8591</v>
      </c>
      <c r="M98" s="9"/>
    </row>
    <row r="99" spans="1:13" x14ac:dyDescent="0.2">
      <c r="A99" t="s">
        <v>12</v>
      </c>
      <c r="H99" s="3">
        <v>25775</v>
      </c>
      <c r="J99" s="3">
        <v>20445</v>
      </c>
      <c r="L99" s="6">
        <f>J99-H99</f>
        <v>-5330</v>
      </c>
      <c r="M99" s="8"/>
    </row>
    <row r="100" spans="1:13" x14ac:dyDescent="0.2">
      <c r="A100" t="s">
        <v>13</v>
      </c>
      <c r="H100" s="37">
        <v>0</v>
      </c>
      <c r="J100" s="3">
        <v>0</v>
      </c>
      <c r="L100" s="10">
        <f t="shared" ref="L100:L103" si="9">J100-H100</f>
        <v>0</v>
      </c>
      <c r="M100" s="8"/>
    </row>
    <row r="101" spans="1:13" x14ac:dyDescent="0.2">
      <c r="A101" t="s">
        <v>14</v>
      </c>
      <c r="H101" s="11">
        <v>30914</v>
      </c>
      <c r="J101" s="11">
        <v>34585</v>
      </c>
      <c r="L101" s="10">
        <f t="shared" si="9"/>
        <v>3671</v>
      </c>
      <c r="M101" s="8"/>
    </row>
    <row r="102" spans="1:13" x14ac:dyDescent="0.2">
      <c r="A102" t="s">
        <v>64</v>
      </c>
      <c r="H102" s="22">
        <v>2829</v>
      </c>
      <c r="J102" s="22">
        <v>0</v>
      </c>
      <c r="L102" s="34">
        <f t="shared" si="9"/>
        <v>-2829</v>
      </c>
      <c r="M102" s="8"/>
    </row>
    <row r="103" spans="1:13" s="1" customFormat="1" x14ac:dyDescent="0.2">
      <c r="A103" s="1" t="s">
        <v>17</v>
      </c>
      <c r="H103" s="13">
        <f>SUM(H96:H102)</f>
        <v>221159</v>
      </c>
      <c r="I103" s="13"/>
      <c r="J103" s="13">
        <f>SUM(J96:J102)</f>
        <v>196358</v>
      </c>
      <c r="L103" s="6">
        <f t="shared" si="9"/>
        <v>-24801</v>
      </c>
    </row>
    <row r="104" spans="1:13" ht="16" thickBot="1" x14ac:dyDescent="0.25">
      <c r="H104" s="32"/>
      <c r="J104" s="32"/>
      <c r="L104" s="33"/>
    </row>
    <row r="105" spans="1:13" ht="16" thickTop="1" x14ac:dyDescent="0.2"/>
  </sheetData>
  <pageMargins left="0.70866141732283472" right="0.70866141732283472" top="0.74803149606299213" bottom="0.74803149606299213" header="0.31496062992125984" footer="0.31496062992125984"/>
  <pageSetup paperSize="9" scale="63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Turnbull</dc:creator>
  <cp:lastModifiedBy>Paul Shrimpton</cp:lastModifiedBy>
  <cp:lastPrinted>2026-08-11T16:49:01Z</cp:lastPrinted>
  <dcterms:created xsi:type="dcterms:W3CDTF">2026-08-11T16:07:05Z</dcterms:created>
  <dcterms:modified xsi:type="dcterms:W3CDTF">2026-08-14T17:30:39Z</dcterms:modified>
</cp:coreProperties>
</file>